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ho-Theta" sheetId="1" r:id="rId1"/>
    <sheet name="Location Data" sheetId="2" r:id="rId2"/>
    <sheet name="QTH-A" sheetId="3" r:id="rId3"/>
    <sheet name="QTH-B" sheetId="4" r:id="rId4"/>
  </sheets>
  <definedNames>
    <definedName name="_xlnm.Print_Area" localSheetId="0">'Rho-Theta'!$B$2:$K$30</definedName>
  </definedNames>
  <calcPr fullCalcOnLoad="1"/>
</workbook>
</file>

<file path=xl/sharedStrings.xml><?xml version="1.0" encoding="utf-8"?>
<sst xmlns="http://schemas.openxmlformats.org/spreadsheetml/2006/main" count="203" uniqueCount="63">
  <si>
    <t>Lat-A</t>
  </si>
  <si>
    <t>Lon-A</t>
  </si>
  <si>
    <t>Lat-B</t>
  </si>
  <si>
    <t>Lon-B</t>
  </si>
  <si>
    <t>S</t>
  </si>
  <si>
    <t>E</t>
  </si>
  <si>
    <t>o</t>
  </si>
  <si>
    <t>''</t>
  </si>
  <si>
    <t>'</t>
  </si>
  <si>
    <t>N</t>
  </si>
  <si>
    <t>W</t>
  </si>
  <si>
    <t>L</t>
  </si>
  <si>
    <t>Cos-L</t>
  </si>
  <si>
    <t>Cot-B</t>
  </si>
  <si>
    <t>phi</t>
  </si>
  <si>
    <t>Cot-C</t>
  </si>
  <si>
    <t>Cot-L</t>
  </si>
  <si>
    <t>Cos-(A+phi)</t>
  </si>
  <si>
    <t>Sin-(phi)</t>
  </si>
  <si>
    <t>Tan-C</t>
  </si>
  <si>
    <t>Cos-D</t>
  </si>
  <si>
    <t>km</t>
  </si>
  <si>
    <t>C-raw</t>
  </si>
  <si>
    <t>Bearing</t>
  </si>
  <si>
    <t>Distance</t>
  </si>
  <si>
    <t>Seattle</t>
  </si>
  <si>
    <t>Latitude</t>
  </si>
  <si>
    <t>Longitude</t>
  </si>
  <si>
    <t>Location</t>
  </si>
  <si>
    <t>Sydney</t>
  </si>
  <si>
    <t xml:space="preserve">Location of A: </t>
  </si>
  <si>
    <t>Location of B:</t>
  </si>
  <si>
    <t>YB1BUL</t>
  </si>
  <si>
    <t>South ---&gt;</t>
  </si>
  <si>
    <t>North ---&gt;</t>
  </si>
  <si>
    <t>Latitude Minutes ---&gt;</t>
  </si>
  <si>
    <t>North Sub1 ---&gt;</t>
  </si>
  <si>
    <t>North Sub2 ---&gt;</t>
  </si>
  <si>
    <t>North Sub3 ---&gt;</t>
  </si>
  <si>
    <t>South Sub1 ---&gt;</t>
  </si>
  <si>
    <t>South Sub2 ---&gt;</t>
  </si>
  <si>
    <t>South Sub3 ---&gt;</t>
  </si>
  <si>
    <t>West ---&gt;</t>
  </si>
  <si>
    <t>East ---&gt;</t>
  </si>
  <si>
    <t>Even or Odd ---&gt;</t>
  </si>
  <si>
    <t>Longitude Minutes ---&gt;</t>
  </si>
  <si>
    <t>Even Sub1 ---&gt;</t>
  </si>
  <si>
    <t>Even Sub2 ---&gt;</t>
  </si>
  <si>
    <t>Odd Sub1 ---&gt;</t>
  </si>
  <si>
    <t>Odd Sub2 ---&gt;</t>
  </si>
  <si>
    <t>QTH Loc., Distance and Bearing from A to B</t>
  </si>
  <si>
    <t>Developed by: Mula W. Wangsaputra - YB1BUL</t>
  </si>
  <si>
    <t>Mecca</t>
  </si>
  <si>
    <t>Las Cruces</t>
  </si>
  <si>
    <t>New York City</t>
  </si>
  <si>
    <t>Philadelphia</t>
  </si>
  <si>
    <t>Los Angeles</t>
  </si>
  <si>
    <t>San Fransisco</t>
  </si>
  <si>
    <t>London</t>
  </si>
  <si>
    <t>CW</t>
  </si>
  <si>
    <t>CCW</t>
  </si>
  <si>
    <t>YB1HR</t>
  </si>
  <si>
    <t>YC1ZAF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</si>
</sst>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_(* #,##0.0_);_(* \(#,##0.0\);_(* &quot;-&quot;??_);_(@_)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_);_(* \(#,##0.0\);_(* &quot;-&quot;?_);_(@_)"/>
    <numFmt numFmtId="177" formatCode="_(* #,##0_);_(* \(#,##0\);_(* &quot;-&quot;??_);_(@_)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name val="Arial"/>
      <family val="2"/>
    </font>
    <font>
      <b/>
      <sz val="16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7" xfId="15" applyNumberFormat="1" applyFont="1" applyBorder="1" applyAlignment="1">
      <alignment/>
    </xf>
    <xf numFmtId="0" fontId="4" fillId="0" borderId="8" xfId="0" applyFont="1" applyBorder="1" applyAlignment="1" quotePrefix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15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64" fontId="3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quotePrefix="1">
      <alignment/>
    </xf>
    <xf numFmtId="0" fontId="6" fillId="2" borderId="13" xfId="0" applyFont="1" applyFill="1" applyBorder="1" applyAlignment="1" applyProtection="1">
      <alignment/>
      <protection locked="0"/>
    </xf>
    <xf numFmtId="0" fontId="6" fillId="2" borderId="13" xfId="0" applyFont="1" applyFill="1" applyBorder="1" applyAlignment="1" quotePrefix="1">
      <alignment/>
    </xf>
    <xf numFmtId="165" fontId="6" fillId="2" borderId="13" xfId="15" applyNumberFormat="1" applyFont="1" applyFill="1" applyBorder="1" applyAlignment="1" applyProtection="1">
      <alignment/>
      <protection locked="0"/>
    </xf>
    <xf numFmtId="0" fontId="6" fillId="2" borderId="20" xfId="0" applyFont="1" applyFill="1" applyBorder="1" applyAlignment="1" applyProtection="1">
      <alignment/>
      <protection locked="0"/>
    </xf>
    <xf numFmtId="0" fontId="7" fillId="2" borderId="21" xfId="0" applyFont="1" applyFill="1" applyBorder="1" applyAlignment="1" quotePrefix="1">
      <alignment/>
    </xf>
    <xf numFmtId="0" fontId="6" fillId="2" borderId="21" xfId="0" applyFont="1" applyFill="1" applyBorder="1" applyAlignment="1" applyProtection="1">
      <alignment/>
      <protection locked="0"/>
    </xf>
    <xf numFmtId="0" fontId="6" fillId="2" borderId="21" xfId="0" applyFont="1" applyFill="1" applyBorder="1" applyAlignment="1" quotePrefix="1">
      <alignment/>
    </xf>
    <xf numFmtId="165" fontId="6" fillId="2" borderId="21" xfId="15" applyNumberFormat="1" applyFont="1" applyFill="1" applyBorder="1" applyAlignment="1" applyProtection="1">
      <alignment/>
      <protection locked="0"/>
    </xf>
    <xf numFmtId="0" fontId="9" fillId="3" borderId="1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165" fontId="3" fillId="0" borderId="7" xfId="15" applyNumberFormat="1" applyFont="1" applyBorder="1" applyAlignment="1">
      <alignment/>
    </xf>
    <xf numFmtId="0" fontId="6" fillId="2" borderId="15" xfId="0" applyFont="1" applyFill="1" applyBorder="1" applyAlignment="1" applyProtection="1">
      <alignment/>
      <protection locked="0"/>
    </xf>
    <xf numFmtId="0" fontId="6" fillId="2" borderId="23" xfId="0" applyFont="1" applyFill="1" applyBorder="1" applyAlignment="1" applyProtection="1">
      <alignment/>
      <protection locked="0"/>
    </xf>
    <xf numFmtId="0" fontId="9" fillId="0" borderId="24" xfId="0" applyFont="1" applyFill="1" applyBorder="1" applyAlignment="1">
      <alignment/>
    </xf>
    <xf numFmtId="0" fontId="6" fillId="0" borderId="24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quotePrefix="1">
      <alignment/>
    </xf>
    <xf numFmtId="0" fontId="6" fillId="0" borderId="24" xfId="0" applyFont="1" applyFill="1" applyBorder="1" applyAlignment="1" quotePrefix="1">
      <alignment/>
    </xf>
    <xf numFmtId="165" fontId="6" fillId="0" borderId="24" xfId="15" applyNumberFormat="1" applyFont="1" applyFill="1" applyBorder="1" applyAlignment="1" applyProtection="1">
      <alignment/>
      <protection locked="0"/>
    </xf>
    <xf numFmtId="164" fontId="3" fillId="0" borderId="24" xfId="15" applyNumberFormat="1" applyFont="1" applyFill="1" applyBorder="1" applyAlignment="1">
      <alignment/>
    </xf>
    <xf numFmtId="0" fontId="10" fillId="0" borderId="24" xfId="0" applyFont="1" applyFill="1" applyBorder="1" applyAlignment="1" quotePrefix="1">
      <alignment/>
    </xf>
    <xf numFmtId="0" fontId="3" fillId="0" borderId="24" xfId="0" applyFont="1" applyBorder="1" applyAlignment="1">
      <alignment/>
    </xf>
    <xf numFmtId="164" fontId="3" fillId="0" borderId="24" xfId="15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2" fontId="0" fillId="0" borderId="27" xfId="15" applyNumberFormat="1" applyBorder="1" applyAlignment="1">
      <alignment/>
    </xf>
    <xf numFmtId="0" fontId="0" fillId="0" borderId="28" xfId="0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29" xfId="15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6" fontId="0" fillId="0" borderId="10" xfId="15" applyNumberFormat="1" applyBorder="1" applyAlignment="1">
      <alignment/>
    </xf>
    <xf numFmtId="0" fontId="0" fillId="0" borderId="10" xfId="0" applyBorder="1" applyAlignment="1">
      <alignment horizontal="right"/>
    </xf>
    <xf numFmtId="43" fontId="0" fillId="0" borderId="27" xfId="15" applyNumberFormat="1" applyBorder="1" applyAlignment="1">
      <alignment/>
    </xf>
    <xf numFmtId="0" fontId="5" fillId="0" borderId="0" xfId="0" applyFont="1" applyAlignment="1">
      <alignment vertical="center"/>
    </xf>
    <xf numFmtId="0" fontId="7" fillId="4" borderId="13" xfId="0" applyFont="1" applyFill="1" applyBorder="1" applyAlignment="1" quotePrefix="1">
      <alignment/>
    </xf>
    <xf numFmtId="0" fontId="6" fillId="4" borderId="2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175" fontId="0" fillId="0" borderId="26" xfId="15" applyNumberFormat="1" applyBorder="1" applyAlignment="1">
      <alignment/>
    </xf>
    <xf numFmtId="0" fontId="0" fillId="5" borderId="29" xfId="0" applyFill="1" applyBorder="1" applyAlignment="1">
      <alignment horizontal="center"/>
    </xf>
    <xf numFmtId="172" fontId="0" fillId="6" borderId="29" xfId="15" applyNumberFormat="1" applyFill="1" applyBorder="1" applyAlignment="1">
      <alignment horizontal="center"/>
    </xf>
    <xf numFmtId="172" fontId="0" fillId="7" borderId="29" xfId="15" applyNumberFormat="1" applyFill="1" applyBorder="1" applyAlignment="1">
      <alignment/>
    </xf>
    <xf numFmtId="172" fontId="0" fillId="8" borderId="29" xfId="15" applyNumberForma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43" fontId="6" fillId="4" borderId="9" xfId="15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66" fontId="6" fillId="4" borderId="4" xfId="15" applyNumberFormat="1" applyFont="1" applyFill="1" applyBorder="1" applyAlignment="1">
      <alignment horizontal="center"/>
    </xf>
    <xf numFmtId="166" fontId="6" fillId="4" borderId="10" xfId="15" applyNumberFormat="1" applyFont="1" applyFill="1" applyBorder="1" applyAlignment="1">
      <alignment horizontal="center"/>
    </xf>
    <xf numFmtId="0" fontId="7" fillId="4" borderId="10" xfId="0" applyFont="1" applyFill="1" applyBorder="1" applyAlignment="1" quotePrefix="1">
      <alignment/>
    </xf>
    <xf numFmtId="0" fontId="6" fillId="4" borderId="31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177" fontId="6" fillId="4" borderId="10" xfId="15" applyNumberFormat="1" applyFont="1" applyFill="1" applyBorder="1" applyAlignment="1">
      <alignment horizontal="center"/>
    </xf>
    <xf numFmtId="169" fontId="3" fillId="3" borderId="32" xfId="15" applyNumberFormat="1" applyFont="1" applyFill="1" applyBorder="1" applyAlignment="1">
      <alignment/>
    </xf>
    <xf numFmtId="169" fontId="3" fillId="3" borderId="33" xfId="15" applyNumberFormat="1" applyFont="1" applyFill="1" applyBorder="1" applyAlignment="1">
      <alignment/>
    </xf>
    <xf numFmtId="0" fontId="0" fillId="0" borderId="34" xfId="0" applyBorder="1" applyAlignment="1">
      <alignment/>
    </xf>
    <xf numFmtId="0" fontId="6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177" fontId="6" fillId="4" borderId="3" xfId="15" applyNumberFormat="1" applyFont="1" applyFill="1" applyBorder="1" applyAlignment="1">
      <alignment horizontal="center"/>
    </xf>
    <xf numFmtId="177" fontId="6" fillId="4" borderId="13" xfId="15" applyNumberFormat="1" applyFont="1" applyFill="1" applyBorder="1" applyAlignment="1">
      <alignment horizontal="center"/>
    </xf>
    <xf numFmtId="166" fontId="6" fillId="4" borderId="20" xfId="15" applyNumberFormat="1" applyFont="1" applyFill="1" applyBorder="1" applyAlignment="1">
      <alignment horizontal="center"/>
    </xf>
    <xf numFmtId="166" fontId="6" fillId="4" borderId="21" xfId="15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" fontId="6" fillId="4" borderId="38" xfId="15" applyNumberFormat="1" applyFont="1" applyFill="1" applyBorder="1" applyAlignment="1">
      <alignment horizontal="center" vertical="center"/>
    </xf>
    <xf numFmtId="1" fontId="6" fillId="4" borderId="17" xfId="15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1" fillId="11" borderId="40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11" borderId="41" xfId="0" applyFont="1" applyFill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0"/>
  <sheetViews>
    <sheetView showGridLines="0" tabSelected="1" workbookViewId="0" topLeftCell="A1">
      <selection activeCell="Q6" sqref="Q6"/>
    </sheetView>
  </sheetViews>
  <sheetFormatPr defaultColWidth="9.140625" defaultRowHeight="12.75" outlineLevelRow="1"/>
  <cols>
    <col min="1" max="1" width="2.421875" style="7" customWidth="1"/>
    <col min="2" max="2" width="20.7109375" style="7" bestFit="1" customWidth="1"/>
    <col min="3" max="3" width="6.00390625" style="7" bestFit="1" customWidth="1"/>
    <col min="4" max="4" width="2.140625" style="7" bestFit="1" customWidth="1"/>
    <col min="5" max="5" width="4.421875" style="7" bestFit="1" customWidth="1"/>
    <col min="6" max="6" width="2.00390625" style="7" bestFit="1" customWidth="1"/>
    <col min="7" max="7" width="8.421875" style="7" bestFit="1" customWidth="1"/>
    <col min="8" max="8" width="2.7109375" style="7" bestFit="1" customWidth="1"/>
    <col min="9" max="9" width="7.7109375" style="7" bestFit="1" customWidth="1"/>
    <col min="10" max="10" width="17.140625" style="8" bestFit="1" customWidth="1"/>
    <col min="11" max="11" width="3.421875" style="7" bestFit="1" customWidth="1"/>
    <col min="12" max="12" width="2.00390625" style="7" bestFit="1" customWidth="1"/>
    <col min="13" max="14" width="2.8515625" style="7" bestFit="1" customWidth="1"/>
    <col min="15" max="15" width="3.00390625" style="7" bestFit="1" customWidth="1"/>
    <col min="16" max="16" width="3.00390625" style="7" customWidth="1"/>
    <col min="17" max="16384" width="9.140625" style="7" customWidth="1"/>
  </cols>
  <sheetData>
    <row r="1" ht="18.75" thickBot="1"/>
    <row r="2" spans="2:16" s="78" customFormat="1" ht="21" thickBot="1">
      <c r="B2" s="126" t="s">
        <v>50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2:11" ht="46.5" customHeight="1" thickBot="1">
      <c r="B3" s="52" t="s">
        <v>30</v>
      </c>
      <c r="C3" s="111" t="s">
        <v>32</v>
      </c>
      <c r="D3" s="111"/>
      <c r="E3" s="111"/>
      <c r="F3" s="111"/>
      <c r="G3" s="111"/>
      <c r="H3" s="111"/>
      <c r="I3" s="111"/>
      <c r="J3" s="18"/>
      <c r="K3" s="15"/>
    </row>
    <row r="4" spans="2:16" ht="21">
      <c r="B4" s="50" t="s">
        <v>0</v>
      </c>
      <c r="C4" s="40">
        <v>6</v>
      </c>
      <c r="D4" s="41" t="s">
        <v>6</v>
      </c>
      <c r="E4" s="42">
        <v>54</v>
      </c>
      <c r="F4" s="43" t="s">
        <v>8</v>
      </c>
      <c r="G4" s="44">
        <v>59</v>
      </c>
      <c r="H4" s="43" t="s">
        <v>7</v>
      </c>
      <c r="I4" s="42" t="s">
        <v>4</v>
      </c>
      <c r="J4" s="103">
        <f>IF(OR(I4="S",I4="s")=TRUE,-C4-E4/60-G4/3600,C4+E4/60+G4/3600)</f>
        <v>-6.916388888888889</v>
      </c>
      <c r="K4" s="118" t="str">
        <f>IF(I5="E",'QTH-A'!J21,'QTH-A'!J20)</f>
        <v>O</v>
      </c>
      <c r="L4" s="118" t="str">
        <f>IF(I4="S",'QTH-A'!J8,'QTH-A'!J9)</f>
        <v>I</v>
      </c>
      <c r="M4" s="120">
        <f>INT('QTH-A'!J22)</f>
        <v>3</v>
      </c>
      <c r="N4" s="122">
        <f>INT('QTH-A'!J10)</f>
        <v>3</v>
      </c>
      <c r="O4" s="118" t="str">
        <f>IF('QTH-A'!J23="Odd",IF('QTH-A'!J25="Sub1",'QTH-A'!J28,'QTH-A'!J29),IF('QTH-A'!J25="Sub1",'QTH-A'!J26,'QTH-A'!J27))</f>
        <v>d</v>
      </c>
      <c r="P4" s="124" t="str">
        <f>IF(I4="N",IF('QTH-A'!J12="Sub1",'QTH-A'!J13,IF('QTH-A'!J12="Sub2",'QTH-A'!J14,'QTH-A'!J15)),IF('QTH-A'!J12="Sub1",'QTH-A'!J16,IF('QTH-A'!J12="Sub2",'QTH-A'!J17,'QTH-A'!J18)))</f>
        <v>c</v>
      </c>
    </row>
    <row r="5" spans="2:16" ht="21.75" thickBot="1">
      <c r="B5" s="51" t="s">
        <v>1</v>
      </c>
      <c r="C5" s="45">
        <v>107</v>
      </c>
      <c r="D5" s="46" t="s">
        <v>6</v>
      </c>
      <c r="E5" s="47">
        <v>40</v>
      </c>
      <c r="F5" s="48" t="s">
        <v>8</v>
      </c>
      <c r="G5" s="49">
        <v>11</v>
      </c>
      <c r="H5" s="48" t="s">
        <v>7</v>
      </c>
      <c r="I5" s="47" t="s">
        <v>5</v>
      </c>
      <c r="J5" s="104">
        <f>IF(OR(I5="E",I5="e")=TRUE,-C5-E5/60-G5/3600,C5+E5/60+G5/3600)</f>
        <v>-107.66972222222223</v>
      </c>
      <c r="K5" s="119"/>
      <c r="L5" s="119"/>
      <c r="M5" s="121"/>
      <c r="N5" s="123"/>
      <c r="O5" s="119"/>
      <c r="P5" s="125"/>
    </row>
    <row r="6" spans="2:12" ht="40.5" customHeight="1" thickBot="1">
      <c r="B6" s="53" t="s">
        <v>31</v>
      </c>
      <c r="C6" s="111" t="s">
        <v>61</v>
      </c>
      <c r="D6" s="111"/>
      <c r="E6" s="111"/>
      <c r="F6" s="111"/>
      <c r="G6" s="111"/>
      <c r="H6" s="111"/>
      <c r="I6" s="111"/>
      <c r="J6" s="7"/>
      <c r="L6" s="15"/>
    </row>
    <row r="7" spans="2:16" ht="21">
      <c r="B7" s="50" t="s">
        <v>2</v>
      </c>
      <c r="C7" s="40">
        <v>6</v>
      </c>
      <c r="D7" s="41" t="s">
        <v>6</v>
      </c>
      <c r="E7" s="42">
        <v>55</v>
      </c>
      <c r="F7" s="43" t="s">
        <v>8</v>
      </c>
      <c r="G7" s="44">
        <v>37.3</v>
      </c>
      <c r="H7" s="43" t="s">
        <v>7</v>
      </c>
      <c r="I7" s="55" t="s">
        <v>4</v>
      </c>
      <c r="J7" s="103">
        <f>IF(OR(I7="S",I7="s")=TRUE,-C7-E7/60-G7/3600,C7+E7/60+G7/3600)</f>
        <v>-6.927027777777778</v>
      </c>
      <c r="K7" s="116" t="str">
        <f>IF(I8="E",'QTH-B'!J21,'QTH-B'!J20)</f>
        <v>O</v>
      </c>
      <c r="L7" s="118" t="str">
        <f>IF(I7="S",'QTH-B'!J8,'QTH-B'!J9)</f>
        <v>I</v>
      </c>
      <c r="M7" s="120">
        <f>INT('QTH-B'!J22)</f>
        <v>3</v>
      </c>
      <c r="N7" s="122">
        <f>INT('QTH-B'!J10)</f>
        <v>3</v>
      </c>
      <c r="O7" s="118" t="str">
        <f>IF('QTH-B'!J23="Odd",IF('QTH-B'!J25="Sub1",'QTH-B'!J28,'QTH-B'!J29),IF('QTH-B'!J25="Sub1",'QTH-B'!J26,'QTH-B'!J27))</f>
        <v>e</v>
      </c>
      <c r="P7" s="124" t="str">
        <f>IF(I7="N",IF('QTH-B'!J12="Sub1",'QTH-B'!J13,IF('QTH-B'!J12="Sub2",'QTH-B'!J14,'QTH-B'!J15)),IF('QTH-B'!J12="Sub1",'QTH-B'!J16,IF('QTH-B'!J12="Sub2",'QTH-B'!J17,'QTH-B'!J18)))</f>
        <v>b</v>
      </c>
    </row>
    <row r="8" spans="2:16" ht="21.75" thickBot="1">
      <c r="B8" s="51" t="s">
        <v>3</v>
      </c>
      <c r="C8" s="45">
        <v>107</v>
      </c>
      <c r="D8" s="46" t="s">
        <v>6</v>
      </c>
      <c r="E8" s="47">
        <v>35</v>
      </c>
      <c r="F8" s="48" t="s">
        <v>8</v>
      </c>
      <c r="G8" s="49">
        <v>45.6</v>
      </c>
      <c r="H8" s="48" t="s">
        <v>7</v>
      </c>
      <c r="I8" s="56" t="s">
        <v>5</v>
      </c>
      <c r="J8" s="104">
        <f>IF(OR(I8="E",I8="e")=TRUE,-C8-E8/60-G8/3600,C8+E8/60+G8/3600)</f>
        <v>-107.59599999999999</v>
      </c>
      <c r="K8" s="117"/>
      <c r="L8" s="119"/>
      <c r="M8" s="121"/>
      <c r="N8" s="123"/>
      <c r="O8" s="119"/>
      <c r="P8" s="125"/>
    </row>
    <row r="9" ht="18">
      <c r="J9" s="7"/>
    </row>
    <row r="10" spans="2:11" ht="21" hidden="1" outlineLevel="1">
      <c r="B10" s="57" t="s">
        <v>0</v>
      </c>
      <c r="C10" s="58"/>
      <c r="D10" s="59"/>
      <c r="E10" s="58"/>
      <c r="F10" s="60"/>
      <c r="G10" s="61"/>
      <c r="H10" s="60"/>
      <c r="I10" s="58"/>
      <c r="J10" s="62">
        <f>IF(I4="S",-(C4+E4/60+G4/3600),C4+E4/60+G4/3600)</f>
        <v>-6.916388888888889</v>
      </c>
      <c r="K10" s="63" t="s">
        <v>6</v>
      </c>
    </row>
    <row r="11" spans="2:11" ht="21" hidden="1" outlineLevel="1">
      <c r="B11" s="57" t="s">
        <v>1</v>
      </c>
      <c r="C11" s="58"/>
      <c r="D11" s="59"/>
      <c r="E11" s="58"/>
      <c r="F11" s="60"/>
      <c r="G11" s="61"/>
      <c r="H11" s="60"/>
      <c r="I11" s="58"/>
      <c r="J11" s="62">
        <f>IF(I5="E",-(C5+E5/60+G5/3600),C5+E5/60+G5/3600)</f>
        <v>-107.66972222222223</v>
      </c>
      <c r="K11" s="63" t="s">
        <v>6</v>
      </c>
    </row>
    <row r="12" spans="2:11" ht="21" hidden="1" outlineLevel="1">
      <c r="B12" s="57" t="s">
        <v>2</v>
      </c>
      <c r="C12" s="58"/>
      <c r="D12" s="59"/>
      <c r="E12" s="58"/>
      <c r="F12" s="60"/>
      <c r="G12" s="61"/>
      <c r="H12" s="60"/>
      <c r="I12" s="58"/>
      <c r="J12" s="62">
        <f>IF(I7="S",-(C7+E7/60+G7/3600),C7+E7/60+G7/3600)</f>
        <v>-6.927027777777778</v>
      </c>
      <c r="K12" s="63" t="s">
        <v>6</v>
      </c>
    </row>
    <row r="13" spans="2:11" ht="21" hidden="1" outlineLevel="1">
      <c r="B13" s="57" t="s">
        <v>3</v>
      </c>
      <c r="C13" s="58"/>
      <c r="D13" s="59"/>
      <c r="E13" s="58"/>
      <c r="F13" s="60"/>
      <c r="G13" s="61"/>
      <c r="H13" s="60"/>
      <c r="I13" s="58"/>
      <c r="J13" s="62">
        <f>IF(I8="E",-(C8+E8/60+G8/3600),C8+E8/60+G8/3600)</f>
        <v>-107.59599999999999</v>
      </c>
      <c r="K13" s="63" t="s">
        <v>6</v>
      </c>
    </row>
    <row r="14" spans="2:11" ht="21" hidden="1" outlineLevel="1">
      <c r="B14" s="64" t="s">
        <v>11</v>
      </c>
      <c r="C14" s="64"/>
      <c r="D14" s="64"/>
      <c r="E14" s="64"/>
      <c r="F14" s="64"/>
      <c r="G14" s="64"/>
      <c r="H14" s="64"/>
      <c r="I14" s="64"/>
      <c r="J14" s="65">
        <f>J11-J13</f>
        <v>-0.07372222222224423</v>
      </c>
      <c r="K14" s="63" t="s">
        <v>6</v>
      </c>
    </row>
    <row r="15" spans="2:11" ht="18" hidden="1" outlineLevel="1">
      <c r="B15" s="9" t="s">
        <v>12</v>
      </c>
      <c r="C15" s="10"/>
      <c r="D15" s="14"/>
      <c r="E15" s="14"/>
      <c r="F15" s="14"/>
      <c r="G15" s="14"/>
      <c r="H15" s="14"/>
      <c r="I15" s="14"/>
      <c r="J15" s="12">
        <f>COS(J14*PI()/180)</f>
        <v>0.9999991722074469</v>
      </c>
      <c r="K15" s="11"/>
    </row>
    <row r="16" spans="2:11" ht="18" hidden="1" outlineLevel="1">
      <c r="B16" s="9" t="s">
        <v>13</v>
      </c>
      <c r="C16" s="10"/>
      <c r="D16" s="14"/>
      <c r="E16" s="14"/>
      <c r="F16" s="14"/>
      <c r="G16" s="14"/>
      <c r="H16" s="14"/>
      <c r="I16" s="14"/>
      <c r="J16" s="12">
        <f>1/TAN(J12*PI()/180)</f>
        <v>-8.23099762375218</v>
      </c>
      <c r="K16" s="11"/>
    </row>
    <row r="17" spans="2:11" ht="21" hidden="1" outlineLevel="1">
      <c r="B17" s="9" t="s">
        <v>14</v>
      </c>
      <c r="C17" s="10"/>
      <c r="D17" s="14"/>
      <c r="E17" s="14"/>
      <c r="F17" s="14"/>
      <c r="G17" s="14"/>
      <c r="H17" s="14"/>
      <c r="I17" s="14"/>
      <c r="J17" s="12">
        <f>(180/PI())*ATAN(J15*J16)</f>
        <v>-83.07296654378852</v>
      </c>
      <c r="K17" s="13" t="s">
        <v>6</v>
      </c>
    </row>
    <row r="18" spans="2:11" ht="18" hidden="1" outlineLevel="1">
      <c r="B18" s="9" t="s">
        <v>16</v>
      </c>
      <c r="C18" s="10"/>
      <c r="D18" s="14"/>
      <c r="E18" s="14"/>
      <c r="F18" s="14"/>
      <c r="G18" s="14"/>
      <c r="H18" s="14"/>
      <c r="I18" s="14"/>
      <c r="J18" s="12">
        <f>1/(TAN(J14*PI()/180))</f>
        <v>-777.1842216177826</v>
      </c>
      <c r="K18" s="11"/>
    </row>
    <row r="19" spans="2:11" ht="18" hidden="1" outlineLevel="1">
      <c r="B19" s="9" t="s">
        <v>17</v>
      </c>
      <c r="C19" s="10"/>
      <c r="D19" s="14"/>
      <c r="E19" s="14"/>
      <c r="F19" s="14"/>
      <c r="G19" s="14"/>
      <c r="H19" s="14"/>
      <c r="I19" s="14"/>
      <c r="J19" s="12">
        <f>COS((J10+J17)*PI()/180)</f>
        <v>0.00018578274616047404</v>
      </c>
      <c r="K19" s="11"/>
    </row>
    <row r="20" spans="2:11" ht="18" hidden="1" outlineLevel="1">
      <c r="B20" s="9" t="s">
        <v>18</v>
      </c>
      <c r="C20" s="10"/>
      <c r="D20" s="14"/>
      <c r="E20" s="14"/>
      <c r="F20" s="14"/>
      <c r="G20" s="14"/>
      <c r="H20" s="14"/>
      <c r="I20" s="14"/>
      <c r="J20" s="12">
        <f>SIN(J17*PI()/180)</f>
        <v>-0.9927005481273582</v>
      </c>
      <c r="K20" s="11"/>
    </row>
    <row r="21" spans="2:11" ht="18" hidden="1" outlineLevel="1">
      <c r="B21" s="9" t="s">
        <v>15</v>
      </c>
      <c r="C21" s="10"/>
      <c r="D21" s="14"/>
      <c r="E21" s="14"/>
      <c r="F21" s="14"/>
      <c r="G21" s="14"/>
      <c r="H21" s="14"/>
      <c r="I21" s="14"/>
      <c r="J21" s="12">
        <f>J18*J19/J20</f>
        <v>0.14544911780004172</v>
      </c>
      <c r="K21" s="11"/>
    </row>
    <row r="22" spans="2:11" ht="18" hidden="1" outlineLevel="1">
      <c r="B22" s="9" t="s">
        <v>19</v>
      </c>
      <c r="C22" s="10"/>
      <c r="D22" s="14"/>
      <c r="E22" s="14"/>
      <c r="F22" s="14"/>
      <c r="G22" s="14"/>
      <c r="H22" s="14"/>
      <c r="I22" s="14"/>
      <c r="J22" s="12">
        <f>1/J21</f>
        <v>6.875256551055638</v>
      </c>
      <c r="K22" s="11"/>
    </row>
    <row r="23" spans="2:11" ht="21" hidden="1" outlineLevel="1">
      <c r="B23" s="9" t="s">
        <v>22</v>
      </c>
      <c r="C23" s="10"/>
      <c r="D23" s="14"/>
      <c r="E23" s="14"/>
      <c r="F23" s="14"/>
      <c r="G23" s="14"/>
      <c r="H23" s="14"/>
      <c r="I23" s="14"/>
      <c r="J23" s="54">
        <f>(180/PI())*ATAN(J22)</f>
        <v>81.72441171172598</v>
      </c>
      <c r="K23" s="13" t="s">
        <v>6</v>
      </c>
    </row>
    <row r="24" spans="2:11" ht="21.75" collapsed="1" thickBot="1">
      <c r="B24" s="15"/>
      <c r="C24" s="15"/>
      <c r="D24" s="15"/>
      <c r="E24" s="15"/>
      <c r="F24" s="15"/>
      <c r="G24" s="15"/>
      <c r="H24" s="15"/>
      <c r="I24" s="15"/>
      <c r="J24" s="16"/>
      <c r="K24" s="17"/>
    </row>
    <row r="25" spans="2:11" ht="21">
      <c r="B25" s="108" t="s">
        <v>23</v>
      </c>
      <c r="C25" s="112">
        <f>IF(J18&gt;0,IF(J23&gt;0,J23,J23+180),IF(J23&gt;0,J23+180,J23+360))</f>
        <v>261.72441171172596</v>
      </c>
      <c r="D25" s="113"/>
      <c r="E25" s="113"/>
      <c r="F25" s="113"/>
      <c r="G25" s="113"/>
      <c r="H25" s="79" t="s">
        <v>6</v>
      </c>
      <c r="I25" s="101" t="s">
        <v>59</v>
      </c>
      <c r="J25" s="7"/>
      <c r="K25" s="96"/>
    </row>
    <row r="26" spans="2:11" ht="21">
      <c r="B26" s="109"/>
      <c r="C26" s="97"/>
      <c r="D26" s="98"/>
      <c r="E26" s="98"/>
      <c r="F26" s="98"/>
      <c r="G26" s="102">
        <f>360-C25</f>
        <v>98.27558828827404</v>
      </c>
      <c r="H26" s="99" t="s">
        <v>6</v>
      </c>
      <c r="I26" s="100" t="s">
        <v>60</v>
      </c>
      <c r="J26" s="7"/>
      <c r="K26" s="96"/>
    </row>
    <row r="27" spans="2:10" ht="18" hidden="1" outlineLevel="1">
      <c r="B27" s="80" t="s">
        <v>20</v>
      </c>
      <c r="C27" s="81"/>
      <c r="D27" s="82"/>
      <c r="E27" s="82"/>
      <c r="F27" s="82"/>
      <c r="G27" s="95">
        <f>SIN(J10*PI()/180)*SIN(J12*PI()/180)+COS(J10*PI()/180)*COS(J12*PI()/180)*J15</f>
        <v>0.9999991669905892</v>
      </c>
      <c r="H27" s="83"/>
      <c r="I27" s="84"/>
      <c r="J27" s="7"/>
    </row>
    <row r="28" spans="2:10" ht="18.75" collapsed="1" thickBot="1">
      <c r="B28" s="85" t="s">
        <v>24</v>
      </c>
      <c r="C28" s="114">
        <f>(180/PI())*ACOS(G27)*60*1.852</f>
        <v>8.21778636790291</v>
      </c>
      <c r="D28" s="115"/>
      <c r="E28" s="115"/>
      <c r="F28" s="115"/>
      <c r="G28" s="115"/>
      <c r="H28" s="106" t="s">
        <v>21</v>
      </c>
      <c r="I28" s="107"/>
      <c r="J28" s="7"/>
    </row>
    <row r="29" ht="18">
      <c r="J29" s="7"/>
    </row>
    <row r="30" spans="2:16" ht="20.25" customHeight="1">
      <c r="B30" s="110" t="s">
        <v>51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sheetProtection password="DA0B" sheet="1" objects="1" scenarios="1"/>
  <mergeCells count="20">
    <mergeCell ref="O7:O8"/>
    <mergeCell ref="P7:P8"/>
    <mergeCell ref="M4:M5"/>
    <mergeCell ref="B2:P2"/>
    <mergeCell ref="N4:N5"/>
    <mergeCell ref="O4:O5"/>
    <mergeCell ref="P4:P5"/>
    <mergeCell ref="C3:I3"/>
    <mergeCell ref="K4:K5"/>
    <mergeCell ref="L4:L5"/>
    <mergeCell ref="H28:I28"/>
    <mergeCell ref="B25:B26"/>
    <mergeCell ref="B30:P30"/>
    <mergeCell ref="C6:I6"/>
    <mergeCell ref="C25:G25"/>
    <mergeCell ref="C28:G28"/>
    <mergeCell ref="K7:K8"/>
    <mergeCell ref="L7:L8"/>
    <mergeCell ref="M7:M8"/>
    <mergeCell ref="N7:N8"/>
  </mergeCells>
  <printOptions horizontalCentered="1"/>
  <pageMargins left="0.75" right="0.75" top="2" bottom="1" header="0.5" footer="0.5"/>
  <pageSetup fitToHeight="1" fitToWidth="1" horizontalDpi="300" verticalDpi="300" orientation="portrait" paperSize="9" r:id="rId1"/>
  <headerFooter alignWithMargins="0">
    <oddFooter>&amp;LYB1BUL &amp;D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14"/>
  <sheetViews>
    <sheetView showGridLines="0" workbookViewId="0" topLeftCell="A24">
      <selection activeCell="B3" sqref="B3"/>
    </sheetView>
  </sheetViews>
  <sheetFormatPr defaultColWidth="9.140625" defaultRowHeight="12.75"/>
  <cols>
    <col min="1" max="1" width="3.7109375" style="0" customWidth="1"/>
    <col min="2" max="2" width="13.140625" style="0" bestFit="1" customWidth="1"/>
    <col min="3" max="3" width="3.00390625" style="0" bestFit="1" customWidth="1"/>
    <col min="4" max="4" width="1.7109375" style="0" bestFit="1" customWidth="1"/>
    <col min="5" max="5" width="3.00390625" style="0" bestFit="1" customWidth="1"/>
    <col min="6" max="6" width="1.28515625" style="0" bestFit="1" customWidth="1"/>
    <col min="7" max="7" width="4.57421875" style="25" bestFit="1" customWidth="1"/>
    <col min="8" max="8" width="1.57421875" style="0" bestFit="1" customWidth="1"/>
    <col min="9" max="9" width="2.28125" style="0" bestFit="1" customWidth="1"/>
    <col min="10" max="10" width="4.00390625" style="0" bestFit="1" customWidth="1"/>
    <col min="11" max="11" width="1.7109375" style="0" bestFit="1" customWidth="1"/>
    <col min="12" max="12" width="3.00390625" style="0" bestFit="1" customWidth="1"/>
    <col min="13" max="13" width="1.28515625" style="0" bestFit="1" customWidth="1"/>
    <col min="14" max="14" width="4.57421875" style="25" bestFit="1" customWidth="1"/>
    <col min="15" max="15" width="1.57421875" style="0" bestFit="1" customWidth="1"/>
    <col min="16" max="16" width="2.8515625" style="0" bestFit="1" customWidth="1"/>
  </cols>
  <sheetData>
    <row r="1" ht="13.5" thickBot="1"/>
    <row r="2" spans="2:16" s="19" customFormat="1" ht="13.5" thickBot="1">
      <c r="B2" s="23" t="s">
        <v>28</v>
      </c>
      <c r="C2" s="129" t="s">
        <v>26</v>
      </c>
      <c r="D2" s="129"/>
      <c r="E2" s="129"/>
      <c r="F2" s="129"/>
      <c r="G2" s="129"/>
      <c r="H2" s="129"/>
      <c r="I2" s="129"/>
      <c r="J2" s="129" t="s">
        <v>27</v>
      </c>
      <c r="K2" s="129"/>
      <c r="L2" s="129"/>
      <c r="M2" s="129"/>
      <c r="N2" s="129"/>
      <c r="O2" s="129"/>
      <c r="P2" s="130"/>
    </row>
    <row r="3" spans="2:16" ht="14.25">
      <c r="B3" s="1" t="s">
        <v>32</v>
      </c>
      <c r="C3" s="3">
        <v>6</v>
      </c>
      <c r="D3" s="27" t="s">
        <v>6</v>
      </c>
      <c r="E3" s="28">
        <v>54</v>
      </c>
      <c r="F3" s="29" t="s">
        <v>8</v>
      </c>
      <c r="G3" s="30">
        <v>59</v>
      </c>
      <c r="H3" s="29" t="s">
        <v>7</v>
      </c>
      <c r="I3" s="31" t="s">
        <v>4</v>
      </c>
      <c r="J3" s="3">
        <v>107</v>
      </c>
      <c r="K3" s="27" t="s">
        <v>6</v>
      </c>
      <c r="L3" s="28">
        <v>40</v>
      </c>
      <c r="M3" s="29" t="s">
        <v>8</v>
      </c>
      <c r="N3" s="30">
        <v>11</v>
      </c>
      <c r="O3" s="29" t="s">
        <v>7</v>
      </c>
      <c r="P3" s="32" t="s">
        <v>5</v>
      </c>
    </row>
    <row r="4" spans="2:16" ht="14.25">
      <c r="B4" s="105" t="s">
        <v>62</v>
      </c>
      <c r="C4" s="4">
        <v>6</v>
      </c>
      <c r="D4" s="20" t="s">
        <v>6</v>
      </c>
      <c r="E4" s="21">
        <v>54</v>
      </c>
      <c r="F4" s="22" t="s">
        <v>8</v>
      </c>
      <c r="G4" s="26">
        <v>35.9</v>
      </c>
      <c r="H4" s="22" t="s">
        <v>7</v>
      </c>
      <c r="I4" s="6" t="s">
        <v>4</v>
      </c>
      <c r="J4" s="4">
        <v>107</v>
      </c>
      <c r="K4" s="20" t="s">
        <v>6</v>
      </c>
      <c r="L4" s="21">
        <v>40</v>
      </c>
      <c r="M4" s="22" t="s">
        <v>8</v>
      </c>
      <c r="N4" s="26">
        <v>36.8</v>
      </c>
      <c r="O4" s="22" t="s">
        <v>7</v>
      </c>
      <c r="P4" s="24" t="s">
        <v>5</v>
      </c>
    </row>
    <row r="5" spans="2:16" ht="14.25">
      <c r="B5" s="2" t="s">
        <v>29</v>
      </c>
      <c r="C5" s="4">
        <v>33</v>
      </c>
      <c r="D5" s="20" t="s">
        <v>6</v>
      </c>
      <c r="E5" s="21">
        <v>54</v>
      </c>
      <c r="F5" s="22" t="s">
        <v>8</v>
      </c>
      <c r="G5" s="26">
        <v>0</v>
      </c>
      <c r="H5" s="22" t="s">
        <v>7</v>
      </c>
      <c r="I5" s="6" t="s">
        <v>4</v>
      </c>
      <c r="J5" s="4">
        <v>151</v>
      </c>
      <c r="K5" s="20" t="s">
        <v>6</v>
      </c>
      <c r="L5" s="21">
        <v>12</v>
      </c>
      <c r="M5" s="22" t="s">
        <v>8</v>
      </c>
      <c r="N5" s="26">
        <v>0</v>
      </c>
      <c r="O5" s="22" t="s">
        <v>7</v>
      </c>
      <c r="P5" s="24" t="s">
        <v>5</v>
      </c>
    </row>
    <row r="6" spans="2:16" ht="14.25">
      <c r="B6" s="2" t="s">
        <v>25</v>
      </c>
      <c r="C6" s="4">
        <v>47</v>
      </c>
      <c r="D6" s="20" t="s">
        <v>6</v>
      </c>
      <c r="E6" s="21">
        <v>37</v>
      </c>
      <c r="F6" s="22" t="s">
        <v>8</v>
      </c>
      <c r="G6" s="26">
        <v>0</v>
      </c>
      <c r="H6" s="22" t="s">
        <v>7</v>
      </c>
      <c r="I6" s="6" t="s">
        <v>9</v>
      </c>
      <c r="J6" s="4">
        <v>122</v>
      </c>
      <c r="K6" s="20" t="s">
        <v>6</v>
      </c>
      <c r="L6" s="21">
        <v>20</v>
      </c>
      <c r="M6" s="22" t="s">
        <v>8</v>
      </c>
      <c r="N6" s="26">
        <v>0</v>
      </c>
      <c r="O6" s="22" t="s">
        <v>7</v>
      </c>
      <c r="P6" s="24" t="s">
        <v>10</v>
      </c>
    </row>
    <row r="7" spans="2:16" ht="14.25">
      <c r="B7" s="2" t="s">
        <v>57</v>
      </c>
      <c r="C7" s="4">
        <v>37</v>
      </c>
      <c r="D7" s="20" t="s">
        <v>6</v>
      </c>
      <c r="E7" s="21">
        <v>37</v>
      </c>
      <c r="F7" s="22" t="s">
        <v>8</v>
      </c>
      <c r="G7" s="26">
        <v>0</v>
      </c>
      <c r="H7" s="22" t="s">
        <v>7</v>
      </c>
      <c r="I7" s="6" t="s">
        <v>9</v>
      </c>
      <c r="J7" s="4">
        <v>122</v>
      </c>
      <c r="K7" s="20" t="s">
        <v>6</v>
      </c>
      <c r="L7" s="21">
        <v>23</v>
      </c>
      <c r="M7" s="22" t="s">
        <v>8</v>
      </c>
      <c r="N7" s="26">
        <v>0</v>
      </c>
      <c r="O7" s="22" t="s">
        <v>7</v>
      </c>
      <c r="P7" s="24" t="s">
        <v>10</v>
      </c>
    </row>
    <row r="8" spans="2:16" ht="14.25">
      <c r="B8" s="2" t="s">
        <v>55</v>
      </c>
      <c r="C8" s="4">
        <v>39</v>
      </c>
      <c r="D8" s="20" t="s">
        <v>6</v>
      </c>
      <c r="E8" s="21">
        <v>53</v>
      </c>
      <c r="F8" s="22" t="s">
        <v>8</v>
      </c>
      <c r="G8" s="26">
        <v>0</v>
      </c>
      <c r="H8" s="22" t="s">
        <v>7</v>
      </c>
      <c r="I8" s="6" t="s">
        <v>9</v>
      </c>
      <c r="J8" s="4">
        <v>75</v>
      </c>
      <c r="K8" s="20" t="s">
        <v>6</v>
      </c>
      <c r="L8" s="21">
        <v>15</v>
      </c>
      <c r="M8" s="22" t="s">
        <v>8</v>
      </c>
      <c r="N8" s="26">
        <v>0</v>
      </c>
      <c r="O8" s="22" t="s">
        <v>7</v>
      </c>
      <c r="P8" s="24" t="s">
        <v>10</v>
      </c>
    </row>
    <row r="9" spans="2:16" ht="14.25">
      <c r="B9" s="2" t="s">
        <v>54</v>
      </c>
      <c r="C9" s="4">
        <v>40</v>
      </c>
      <c r="D9" s="20" t="s">
        <v>6</v>
      </c>
      <c r="E9" s="21">
        <v>47</v>
      </c>
      <c r="F9" s="22" t="s">
        <v>8</v>
      </c>
      <c r="G9" s="26">
        <v>0</v>
      </c>
      <c r="H9" s="22" t="s">
        <v>7</v>
      </c>
      <c r="I9" s="6" t="s">
        <v>9</v>
      </c>
      <c r="J9" s="4">
        <v>73</v>
      </c>
      <c r="K9" s="20" t="s">
        <v>6</v>
      </c>
      <c r="L9" s="21">
        <v>58</v>
      </c>
      <c r="M9" s="22" t="s">
        <v>8</v>
      </c>
      <c r="N9" s="26">
        <v>0</v>
      </c>
      <c r="O9" s="22" t="s">
        <v>7</v>
      </c>
      <c r="P9" s="24" t="s">
        <v>10</v>
      </c>
    </row>
    <row r="10" spans="2:16" ht="14.25">
      <c r="B10" s="2" t="s">
        <v>52</v>
      </c>
      <c r="C10" s="4">
        <v>21</v>
      </c>
      <c r="D10" s="20" t="s">
        <v>6</v>
      </c>
      <c r="E10" s="21">
        <v>25</v>
      </c>
      <c r="F10" s="22" t="s">
        <v>8</v>
      </c>
      <c r="G10" s="26">
        <v>0</v>
      </c>
      <c r="H10" s="22" t="s">
        <v>7</v>
      </c>
      <c r="I10" s="6" t="s">
        <v>9</v>
      </c>
      <c r="J10" s="4">
        <v>39</v>
      </c>
      <c r="K10" s="20" t="s">
        <v>6</v>
      </c>
      <c r="L10" s="21">
        <v>49</v>
      </c>
      <c r="M10" s="22" t="s">
        <v>8</v>
      </c>
      <c r="N10" s="26">
        <v>0</v>
      </c>
      <c r="O10" s="22" t="s">
        <v>7</v>
      </c>
      <c r="P10" s="24" t="s">
        <v>5</v>
      </c>
    </row>
    <row r="11" spans="2:16" ht="14.25">
      <c r="B11" s="2" t="s">
        <v>56</v>
      </c>
      <c r="C11" s="4">
        <v>33</v>
      </c>
      <c r="D11" s="20" t="s">
        <v>6</v>
      </c>
      <c r="E11" s="21">
        <v>56</v>
      </c>
      <c r="F11" s="22" t="s">
        <v>8</v>
      </c>
      <c r="G11" s="26">
        <v>0</v>
      </c>
      <c r="H11" s="22" t="s">
        <v>7</v>
      </c>
      <c r="I11" s="6" t="s">
        <v>9</v>
      </c>
      <c r="J11" s="4">
        <v>118</v>
      </c>
      <c r="K11" s="20" t="s">
        <v>6</v>
      </c>
      <c r="L11" s="21">
        <v>24</v>
      </c>
      <c r="M11" s="22" t="s">
        <v>8</v>
      </c>
      <c r="N11" s="26">
        <v>0</v>
      </c>
      <c r="O11" s="22" t="s">
        <v>7</v>
      </c>
      <c r="P11" s="24" t="s">
        <v>10</v>
      </c>
    </row>
    <row r="12" spans="2:16" ht="14.25">
      <c r="B12" s="2" t="s">
        <v>58</v>
      </c>
      <c r="C12" s="4">
        <v>51</v>
      </c>
      <c r="D12" s="20" t="s">
        <v>6</v>
      </c>
      <c r="E12" s="21">
        <v>32</v>
      </c>
      <c r="F12" s="22" t="s">
        <v>8</v>
      </c>
      <c r="G12" s="26">
        <v>0</v>
      </c>
      <c r="H12" s="22" t="s">
        <v>7</v>
      </c>
      <c r="I12" s="6" t="s">
        <v>9</v>
      </c>
      <c r="J12" s="4">
        <v>0</v>
      </c>
      <c r="K12" s="20" t="s">
        <v>6</v>
      </c>
      <c r="L12" s="21">
        <v>5</v>
      </c>
      <c r="M12" s="22" t="s">
        <v>8</v>
      </c>
      <c r="N12" s="26">
        <v>0</v>
      </c>
      <c r="O12" s="22" t="s">
        <v>7</v>
      </c>
      <c r="P12" s="24" t="s">
        <v>10</v>
      </c>
    </row>
    <row r="13" spans="2:16" ht="14.25">
      <c r="B13" s="2" t="s">
        <v>53</v>
      </c>
      <c r="C13" s="4">
        <v>32</v>
      </c>
      <c r="D13" s="20" t="s">
        <v>6</v>
      </c>
      <c r="E13" s="21">
        <v>18</v>
      </c>
      <c r="F13" s="22" t="s">
        <v>8</v>
      </c>
      <c r="G13" s="26">
        <v>0</v>
      </c>
      <c r="H13" s="22" t="s">
        <v>7</v>
      </c>
      <c r="I13" s="6" t="s">
        <v>9</v>
      </c>
      <c r="J13" s="4">
        <v>106</v>
      </c>
      <c r="K13" s="20" t="s">
        <v>6</v>
      </c>
      <c r="L13" s="21">
        <v>55</v>
      </c>
      <c r="M13" s="22" t="s">
        <v>8</v>
      </c>
      <c r="N13" s="26">
        <v>0</v>
      </c>
      <c r="O13" s="22" t="s">
        <v>7</v>
      </c>
      <c r="P13" s="24" t="s">
        <v>10</v>
      </c>
    </row>
    <row r="14" spans="2:16" ht="15" thickBot="1">
      <c r="B14" s="5"/>
      <c r="C14" s="33">
        <v>0</v>
      </c>
      <c r="D14" s="34" t="s">
        <v>6</v>
      </c>
      <c r="E14" s="35">
        <v>0</v>
      </c>
      <c r="F14" s="36" t="s">
        <v>8</v>
      </c>
      <c r="G14" s="37">
        <v>0</v>
      </c>
      <c r="H14" s="36" t="s">
        <v>7</v>
      </c>
      <c r="I14" s="38" t="s">
        <v>9</v>
      </c>
      <c r="J14" s="33">
        <v>0</v>
      </c>
      <c r="K14" s="34" t="s">
        <v>6</v>
      </c>
      <c r="L14" s="35">
        <v>0</v>
      </c>
      <c r="M14" s="36" t="s">
        <v>8</v>
      </c>
      <c r="N14" s="37">
        <v>0</v>
      </c>
      <c r="O14" s="36" t="s">
        <v>7</v>
      </c>
      <c r="P14" s="39" t="s">
        <v>10</v>
      </c>
    </row>
  </sheetData>
  <mergeCells count="2">
    <mergeCell ref="C2:I2"/>
    <mergeCell ref="J2:P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J29"/>
  <sheetViews>
    <sheetView showGridLines="0" workbookViewId="0" topLeftCell="A1">
      <selection activeCell="C48" sqref="C48"/>
    </sheetView>
  </sheetViews>
  <sheetFormatPr defaultColWidth="9.140625" defaultRowHeight="12.75" outlineLevelRow="1"/>
  <cols>
    <col min="3" max="3" width="11.7109375" style="0" bestFit="1" customWidth="1"/>
  </cols>
  <sheetData>
    <row r="7" spans="2:10" ht="12.75" hidden="1" outlineLevel="1">
      <c r="B7" s="66" t="s">
        <v>26</v>
      </c>
      <c r="C7" s="86">
        <f>'Rho-Theta'!C4+'Rho-Theta'!E4/60+'Rho-Theta'!G4/3600</f>
        <v>6.916388888888889</v>
      </c>
      <c r="D7" s="67"/>
      <c r="E7" s="67"/>
      <c r="F7" s="67"/>
      <c r="G7" s="67"/>
      <c r="H7" s="67"/>
      <c r="I7" s="67"/>
      <c r="J7" s="68">
        <f>IF('Rho-Theta'!I4="S",90-C7,90+C7)</f>
        <v>83.08361111111111</v>
      </c>
    </row>
    <row r="8" spans="2:10" ht="12.75" hidden="1" outlineLevel="1">
      <c r="B8" s="69"/>
      <c r="C8" s="70"/>
      <c r="D8" s="71"/>
      <c r="E8" s="71"/>
      <c r="F8" s="71"/>
      <c r="G8" s="71"/>
      <c r="H8" s="71"/>
      <c r="I8" s="72" t="s">
        <v>33</v>
      </c>
      <c r="J8" s="88" t="str">
        <f>IF(J7&lt;=10,"A",IF(J7&lt;=20,"B",IF(J7&lt;=30,"C",IF(J7&lt;=40,"D",IF(J7&lt;=50,"E",IF(J7&lt;=60,"F",IF(J7&lt;=70,"G",IF(J7&lt;=80,"H","I"))))))))</f>
        <v>I</v>
      </c>
    </row>
    <row r="9" spans="2:10" ht="12.75" hidden="1" outlineLevel="1">
      <c r="B9" s="69"/>
      <c r="C9" s="70"/>
      <c r="D9" s="71"/>
      <c r="E9" s="71"/>
      <c r="F9" s="71"/>
      <c r="G9" s="71"/>
      <c r="H9" s="71"/>
      <c r="I9" s="72" t="s">
        <v>34</v>
      </c>
      <c r="J9" s="88" t="str">
        <f>IF(J7&lt;=100,"J",IF(J7&lt;=110,"K",IF(J7&lt;=120,"L",IF(J7&lt;=130,"M",IF(J7&lt;=140,"N",IF(J7&lt;=150,"O",IF(J7&lt;=160,"P",IF(J7&lt;=170,"Q","R"))))))))</f>
        <v>J</v>
      </c>
    </row>
    <row r="10" spans="2:10" ht="12.75" hidden="1" outlineLevel="1">
      <c r="B10" s="69"/>
      <c r="C10" s="70"/>
      <c r="D10" s="71"/>
      <c r="E10" s="71"/>
      <c r="F10" s="71"/>
      <c r="G10" s="71"/>
      <c r="H10" s="71"/>
      <c r="I10" s="71"/>
      <c r="J10" s="90">
        <f>10*(J7/10-INT(J7/10))</f>
        <v>3.083611111111111</v>
      </c>
    </row>
    <row r="11" spans="2:10" ht="12.75" hidden="1" outlineLevel="1">
      <c r="B11" s="69"/>
      <c r="C11" s="70"/>
      <c r="D11" s="71"/>
      <c r="E11" s="71"/>
      <c r="F11" s="71"/>
      <c r="G11" s="71"/>
      <c r="H11" s="71"/>
      <c r="I11" s="72" t="s">
        <v>35</v>
      </c>
      <c r="J11" s="73">
        <f>'Rho-Theta'!E4+'Rho-Theta'!G4/60</f>
        <v>54.983333333333334</v>
      </c>
    </row>
    <row r="12" spans="2:10" ht="12.75" hidden="1" outlineLevel="1">
      <c r="B12" s="69"/>
      <c r="C12" s="70"/>
      <c r="D12" s="71"/>
      <c r="E12" s="71"/>
      <c r="F12" s="71"/>
      <c r="G12" s="71"/>
      <c r="H12" s="71"/>
      <c r="I12" s="71"/>
      <c r="J12" s="73" t="str">
        <f>IF(J11&lt;=20,"Sub1",IF(J11&lt;=40,"Sub2","Sub3"))</f>
        <v>Sub3</v>
      </c>
    </row>
    <row r="13" spans="2:10" ht="12.75" hidden="1" outlineLevel="1">
      <c r="B13" s="69"/>
      <c r="C13" s="70"/>
      <c r="D13" s="71"/>
      <c r="E13" s="71"/>
      <c r="F13" s="71"/>
      <c r="G13" s="71"/>
      <c r="H13" s="71"/>
      <c r="I13" s="72" t="s">
        <v>36</v>
      </c>
      <c r="J13" s="93" t="str">
        <f>IF(J11&lt;=2.5,"a",IF(J11&lt;=5,"b",IF(J11&lt;=7.5,"c",IF(J11&lt;=10,"d",IF(J11&lt;=12.5,"e",IF(J11&lt;=15,"f",IF(J11&lt;=17.5,"g",IF(J11&lt;=20,"h","&gt;=i"))))))))</f>
        <v>&gt;=i</v>
      </c>
    </row>
    <row r="14" spans="2:10" ht="12.75" hidden="1" outlineLevel="1">
      <c r="B14" s="69"/>
      <c r="C14" s="70"/>
      <c r="D14" s="71"/>
      <c r="E14" s="71"/>
      <c r="F14" s="71"/>
      <c r="G14" s="71"/>
      <c r="H14" s="71"/>
      <c r="I14" s="72" t="s">
        <v>37</v>
      </c>
      <c r="J14" s="93" t="str">
        <f>IF(J11&lt;=22.5,"i",IF(J11&lt;=25,"j",IF(J11&lt;=27.5,"k",IF(J11&lt;=30,"l",IF(J11&lt;=32.5,"m",IF(J11&lt;=35,"n",IF(J11&lt;=37.5,"o",IF(J11&lt;=40,"p","&gt;=q"))))))))</f>
        <v>&gt;=q</v>
      </c>
    </row>
    <row r="15" spans="2:10" ht="12.75" hidden="1" outlineLevel="1">
      <c r="B15" s="69"/>
      <c r="C15" s="70"/>
      <c r="D15" s="71"/>
      <c r="E15" s="71"/>
      <c r="F15" s="71"/>
      <c r="G15" s="71"/>
      <c r="H15" s="71"/>
      <c r="I15" s="72" t="s">
        <v>38</v>
      </c>
      <c r="J15" s="93" t="str">
        <f>IF(J11&lt;=42.5,"q",IF(J11&lt;=45,"r",IF(J11&lt;=47.5,"s",IF(J11&lt;=50,"t",IF(J11&lt;=52.5,"u",IF(J11&lt;=55,"v",IF(J11&lt;=57.5,"w","x")))))))</f>
        <v>v</v>
      </c>
    </row>
    <row r="16" spans="2:10" ht="12.75" hidden="1" outlineLevel="1">
      <c r="B16" s="69"/>
      <c r="C16" s="70"/>
      <c r="D16" s="71"/>
      <c r="E16" s="71"/>
      <c r="F16" s="71"/>
      <c r="G16" s="71"/>
      <c r="H16" s="71"/>
      <c r="I16" s="72" t="s">
        <v>39</v>
      </c>
      <c r="J16" s="93" t="str">
        <f>IF(J11&lt;=2.5,"x",IF(J11&lt;=5,"w",IF(J11&lt;=7.5,"v",IF(J11&lt;=10,"u",IF(J11&lt;=12.5,"t",IF(J11&lt;=15,"s",IF(J11&lt;=17.5,"r",IF(J11&lt;=20,"q","&lt;=p"))))))))</f>
        <v>&lt;=p</v>
      </c>
    </row>
    <row r="17" spans="2:10" ht="12.75" hidden="1" outlineLevel="1">
      <c r="B17" s="69"/>
      <c r="C17" s="70"/>
      <c r="D17" s="71"/>
      <c r="E17" s="71"/>
      <c r="F17" s="71"/>
      <c r="G17" s="71"/>
      <c r="H17" s="71"/>
      <c r="I17" s="72" t="s">
        <v>40</v>
      </c>
      <c r="J17" s="93" t="str">
        <f>IF(J11&lt;=22.5,"p",IF(J11&lt;=25,"o",IF(J11&lt;=27.5,"n",IF(J11&lt;=30,"m",IF(J11&lt;=32.5,"l",IF(J11&lt;=35,"k",IF(J11&lt;=37.5,"j",IF(J11&lt;=40,"i","&lt;=h"))))))))</f>
        <v>&lt;=h</v>
      </c>
    </row>
    <row r="18" spans="2:10" ht="12.75" hidden="1" outlineLevel="1">
      <c r="B18" s="4"/>
      <c r="C18" s="75"/>
      <c r="D18" s="21"/>
      <c r="E18" s="21"/>
      <c r="F18" s="21"/>
      <c r="G18" s="21"/>
      <c r="H18" s="21"/>
      <c r="I18" s="76" t="s">
        <v>41</v>
      </c>
      <c r="J18" s="94" t="str">
        <f>IF(J11&lt;=42.5,"h",IF(J11&lt;=45,"g",IF(J11&lt;=47.5,"f",IF(J11&lt;=50,"e",IF(J11&lt;=52.5,"d",IF(J11&lt;=55,"c",IF(J11&lt;=57.5,"b","a")))))))</f>
        <v>c</v>
      </c>
    </row>
    <row r="19" spans="2:10" ht="12.75" hidden="1" outlineLevel="1">
      <c r="B19" s="66" t="s">
        <v>27</v>
      </c>
      <c r="C19" s="86">
        <f>'Rho-Theta'!C5+'Rho-Theta'!E5/60+'Rho-Theta'!G5/3600</f>
        <v>107.66972222222223</v>
      </c>
      <c r="D19" s="67"/>
      <c r="E19" s="67"/>
      <c r="F19" s="67"/>
      <c r="G19" s="67"/>
      <c r="H19" s="67"/>
      <c r="I19" s="67"/>
      <c r="J19" s="77">
        <f>IF('Rho-Theta'!I5="E",C19+180,180-C19)</f>
        <v>287.6697222222222</v>
      </c>
    </row>
    <row r="20" spans="2:10" ht="12.75" hidden="1" outlineLevel="1">
      <c r="B20" s="69"/>
      <c r="C20" s="71"/>
      <c r="D20" s="71"/>
      <c r="E20" s="71"/>
      <c r="F20" s="71"/>
      <c r="G20" s="71"/>
      <c r="H20" s="71"/>
      <c r="I20" s="72" t="s">
        <v>42</v>
      </c>
      <c r="J20" s="87" t="str">
        <f>IF(J19&lt;=20,"A",IF(J19&lt;=40,"B",IF(J19&lt;=60,"C",IF(J19&lt;=80,"D",IF(J19&lt;=100,"E",IF(J19&lt;=120,"F",IF(J19&lt;=140,"G",IF(J19&lt;=160,"H","I"))))))))</f>
        <v>I</v>
      </c>
    </row>
    <row r="21" spans="2:10" ht="12.75" hidden="1" outlineLevel="1">
      <c r="B21" s="69"/>
      <c r="C21" s="71"/>
      <c r="D21" s="71"/>
      <c r="E21" s="71"/>
      <c r="F21" s="71"/>
      <c r="G21" s="71"/>
      <c r="H21" s="71"/>
      <c r="I21" s="72" t="s">
        <v>43</v>
      </c>
      <c r="J21" s="87" t="str">
        <f>IF(J19&lt;=200,"J",IF(J19&lt;=220,"K",IF(J19&lt;=240,"L",IF(J19&lt;=260,"M",IF(J19&lt;=280,"N",IF(J19&lt;=300,"O",IF(J19&lt;=320,"P",IF(J19&lt;=340,"Q","R"))))))))</f>
        <v>O</v>
      </c>
    </row>
    <row r="22" spans="2:10" ht="12.75" hidden="1" outlineLevel="1">
      <c r="B22" s="69"/>
      <c r="C22" s="71"/>
      <c r="D22" s="71"/>
      <c r="E22" s="71"/>
      <c r="F22" s="71"/>
      <c r="G22" s="71"/>
      <c r="H22" s="71"/>
      <c r="I22" s="71"/>
      <c r="J22" s="89">
        <f>10*(J19/20-INT(J19/20))</f>
        <v>3.8348611111111097</v>
      </c>
    </row>
    <row r="23" spans="2:10" ht="12.75" hidden="1" outlineLevel="1">
      <c r="B23" s="69"/>
      <c r="C23" s="71"/>
      <c r="D23" s="71"/>
      <c r="E23" s="71"/>
      <c r="F23" s="71"/>
      <c r="G23" s="71"/>
      <c r="H23" s="71"/>
      <c r="I23" s="72" t="s">
        <v>44</v>
      </c>
      <c r="J23" s="74" t="str">
        <f>IF(MOD('Rho-Theta'!C5,2)=0,"Even","Odd")</f>
        <v>Odd</v>
      </c>
    </row>
    <row r="24" spans="2:10" ht="12.75" hidden="1" outlineLevel="1">
      <c r="B24" s="69"/>
      <c r="C24" s="71"/>
      <c r="D24" s="71"/>
      <c r="E24" s="71"/>
      <c r="F24" s="71"/>
      <c r="G24" s="71"/>
      <c r="H24" s="71"/>
      <c r="I24" s="72" t="s">
        <v>45</v>
      </c>
      <c r="J24" s="73">
        <f>'Rho-Theta'!E5+'Rho-Theta'!G5/60</f>
        <v>40.18333333333333</v>
      </c>
    </row>
    <row r="25" spans="2:10" ht="12.75" hidden="1" outlineLevel="1">
      <c r="B25" s="69"/>
      <c r="C25" s="71"/>
      <c r="D25" s="71"/>
      <c r="E25" s="71"/>
      <c r="F25" s="71"/>
      <c r="G25" s="71"/>
      <c r="H25" s="71"/>
      <c r="I25" s="72"/>
      <c r="J25" s="73" t="str">
        <f>IF(J24&lt;=30,"Sub1","Sub2")</f>
        <v>Sub2</v>
      </c>
    </row>
    <row r="26" spans="2:10" ht="12.75" hidden="1" outlineLevel="1">
      <c r="B26" s="69"/>
      <c r="C26" s="71"/>
      <c r="D26" s="71"/>
      <c r="E26" s="71"/>
      <c r="F26" s="71"/>
      <c r="G26" s="71"/>
      <c r="H26" s="71"/>
      <c r="I26" s="72" t="s">
        <v>46</v>
      </c>
      <c r="J26" s="91" t="str">
        <f>IF(J24&lt;=5,"x",IF(J24&lt;=10,"w",IF(J24&lt;=15,"v",IF(J24&lt;=20,"u",IF(J24&lt;=25,"t",IF(J24&lt;=30,"s","&lt;=r"))))))</f>
        <v>&lt;=r</v>
      </c>
    </row>
    <row r="27" spans="2:10" ht="12.75" hidden="1" outlineLevel="1">
      <c r="B27" s="69"/>
      <c r="C27" s="71"/>
      <c r="D27" s="71"/>
      <c r="E27" s="71"/>
      <c r="F27" s="71"/>
      <c r="G27" s="71"/>
      <c r="H27" s="71"/>
      <c r="I27" s="72" t="s">
        <v>47</v>
      </c>
      <c r="J27" s="91" t="str">
        <f>IF(J24&lt;=35,"r",IF(J24&lt;=40,"q",IF(J24&lt;=45,"p",IF(J24&lt;=50,"o",IF(J24&lt;=55,"n","m")))))</f>
        <v>p</v>
      </c>
    </row>
    <row r="28" spans="2:10" ht="12.75" hidden="1" outlineLevel="1">
      <c r="B28" s="69"/>
      <c r="C28" s="71"/>
      <c r="D28" s="71"/>
      <c r="E28" s="71"/>
      <c r="F28" s="71"/>
      <c r="G28" s="71"/>
      <c r="H28" s="71"/>
      <c r="I28" s="72" t="s">
        <v>48</v>
      </c>
      <c r="J28" s="91" t="str">
        <f>IF(J24&lt;=5,"l",IF(J24&lt;=10,"k",IF(J24&lt;=15,"j",IF(J24&lt;=20,"i",IF(J24&lt;=25,"h",IF(J24&lt;=30,"g","&lt;=f"))))))</f>
        <v>&lt;=f</v>
      </c>
    </row>
    <row r="29" spans="2:10" ht="12.75" hidden="1" outlineLevel="1">
      <c r="B29" s="4"/>
      <c r="C29" s="21"/>
      <c r="D29" s="21"/>
      <c r="E29" s="21"/>
      <c r="F29" s="21"/>
      <c r="G29" s="21"/>
      <c r="H29" s="21"/>
      <c r="I29" s="76" t="s">
        <v>49</v>
      </c>
      <c r="J29" s="92" t="str">
        <f>IF(J24&lt;=35,"f",IF(J24&lt;=40,"e",IF(J24&lt;=45,"d",IF(J24&lt;=50,"c",IF(J24&lt;=55,"b","a")))))</f>
        <v>d</v>
      </c>
    </row>
    <row r="30" ht="12.75" collapsed="1"/>
  </sheetData>
  <sheetProtection password="DA0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7:J29"/>
  <sheetViews>
    <sheetView showGridLines="0" workbookViewId="0" topLeftCell="A1">
      <selection activeCell="J29" sqref="J29"/>
    </sheetView>
  </sheetViews>
  <sheetFormatPr defaultColWidth="9.140625" defaultRowHeight="12.75" outlineLevelRow="1"/>
  <cols>
    <col min="3" max="3" width="11.7109375" style="0" bestFit="1" customWidth="1"/>
  </cols>
  <sheetData>
    <row r="7" spans="2:10" ht="12.75" hidden="1" outlineLevel="1">
      <c r="B7" s="66" t="s">
        <v>26</v>
      </c>
      <c r="C7" s="86">
        <f>'Rho-Theta'!C7+'Rho-Theta'!E7/60+'Rho-Theta'!G7/3600</f>
        <v>6.927027777777778</v>
      </c>
      <c r="D7" s="67"/>
      <c r="E7" s="67"/>
      <c r="F7" s="67"/>
      <c r="G7" s="67"/>
      <c r="H7" s="67"/>
      <c r="I7" s="67"/>
      <c r="J7" s="68">
        <f>IF('Rho-Theta'!I7="S",90-C7,90+C7)</f>
        <v>83.07297222222222</v>
      </c>
    </row>
    <row r="8" spans="2:10" ht="12.75" hidden="1" outlineLevel="1">
      <c r="B8" s="69"/>
      <c r="C8" s="70"/>
      <c r="D8" s="71"/>
      <c r="E8" s="71"/>
      <c r="F8" s="71"/>
      <c r="G8" s="71"/>
      <c r="H8" s="71"/>
      <c r="I8" s="72" t="s">
        <v>33</v>
      </c>
      <c r="J8" s="88" t="str">
        <f>IF(J7&lt;=10,"A",IF(J7&lt;=20,"B",IF(J7&lt;=30,"C",IF(J7&lt;=40,"D",IF(J7&lt;=50,"E",IF(J7&lt;=60,"F",IF(J7&lt;=70,"G",IF(J7&lt;=80,"H","I"))))))))</f>
        <v>I</v>
      </c>
    </row>
    <row r="9" spans="2:10" ht="12.75" hidden="1" outlineLevel="1">
      <c r="B9" s="69"/>
      <c r="C9" s="70"/>
      <c r="D9" s="71"/>
      <c r="E9" s="71"/>
      <c r="F9" s="71"/>
      <c r="G9" s="71"/>
      <c r="H9" s="71"/>
      <c r="I9" s="72" t="s">
        <v>34</v>
      </c>
      <c r="J9" s="88" t="str">
        <f>IF(J7&lt;=100,"J",IF(J7&lt;=110,"K",IF(J7&lt;=120,"L",IF(J7&lt;=130,"M",IF(J7&lt;=140,"N",IF(J7&lt;=150,"O",IF(J7&lt;=160,"P",IF(J7&lt;=170,"Q","R"))))))))</f>
        <v>J</v>
      </c>
    </row>
    <row r="10" spans="2:10" ht="12.75" hidden="1" outlineLevel="1">
      <c r="B10" s="69"/>
      <c r="C10" s="70"/>
      <c r="D10" s="71"/>
      <c r="E10" s="71"/>
      <c r="F10" s="71"/>
      <c r="G10" s="71"/>
      <c r="H10" s="71"/>
      <c r="I10" s="71"/>
      <c r="J10" s="90">
        <f>10*(J7/10-INT(J7/10))</f>
        <v>3.0729722222222122</v>
      </c>
    </row>
    <row r="11" spans="2:10" ht="12.75" hidden="1" outlineLevel="1">
      <c r="B11" s="69"/>
      <c r="C11" s="70"/>
      <c r="D11" s="71"/>
      <c r="E11" s="71"/>
      <c r="F11" s="71"/>
      <c r="G11" s="71"/>
      <c r="H11" s="71"/>
      <c r="I11" s="72" t="s">
        <v>35</v>
      </c>
      <c r="J11" s="73">
        <f>'Rho-Theta'!E7+'Rho-Theta'!G7/60</f>
        <v>55.62166666666667</v>
      </c>
    </row>
    <row r="12" spans="2:10" ht="12.75" hidden="1" outlineLevel="1">
      <c r="B12" s="69"/>
      <c r="C12" s="70"/>
      <c r="D12" s="71"/>
      <c r="E12" s="71"/>
      <c r="F12" s="71"/>
      <c r="G12" s="71"/>
      <c r="H12" s="71"/>
      <c r="I12" s="71"/>
      <c r="J12" s="73" t="str">
        <f>IF(J11&lt;=20,"Sub1",IF(J11&lt;=40,"Sub2","Sub3"))</f>
        <v>Sub3</v>
      </c>
    </row>
    <row r="13" spans="2:10" ht="12.75" hidden="1" outlineLevel="1">
      <c r="B13" s="69"/>
      <c r="C13" s="70"/>
      <c r="D13" s="71"/>
      <c r="E13" s="71"/>
      <c r="F13" s="71"/>
      <c r="G13" s="71"/>
      <c r="H13" s="71"/>
      <c r="I13" s="72" t="s">
        <v>36</v>
      </c>
      <c r="J13" s="93" t="str">
        <f>IF(J11&lt;=2.5,"a",IF(J11&lt;=5,"b",IF(J11&lt;=7.5,"c",IF(J11&lt;=10,"d",IF(J11&lt;=12.5,"e",IF(J11&lt;=15,"f",IF(J11&lt;=17.5,"g",IF(J11&lt;=20,"h","&gt;=i"))))))))</f>
        <v>&gt;=i</v>
      </c>
    </row>
    <row r="14" spans="2:10" ht="12.75" hidden="1" outlineLevel="1">
      <c r="B14" s="69"/>
      <c r="C14" s="70"/>
      <c r="D14" s="71"/>
      <c r="E14" s="71"/>
      <c r="F14" s="71"/>
      <c r="G14" s="71"/>
      <c r="H14" s="71"/>
      <c r="I14" s="72" t="s">
        <v>37</v>
      </c>
      <c r="J14" s="93" t="str">
        <f>IF(J11&lt;=22.5,"i",IF(J11&lt;=25,"j",IF(J11&lt;=27.5,"k",IF(J11&lt;=30,"l",IF(J11&lt;=32.5,"m",IF(J11&lt;=35,"n",IF(J11&lt;=37.5,"o",IF(J11&lt;=40,"p","&gt;=q"))))))))</f>
        <v>&gt;=q</v>
      </c>
    </row>
    <row r="15" spans="2:10" ht="12.75" hidden="1" outlineLevel="1">
      <c r="B15" s="69"/>
      <c r="C15" s="70"/>
      <c r="D15" s="71"/>
      <c r="E15" s="71"/>
      <c r="F15" s="71"/>
      <c r="G15" s="71"/>
      <c r="H15" s="71"/>
      <c r="I15" s="72" t="s">
        <v>38</v>
      </c>
      <c r="J15" s="93" t="str">
        <f>IF(J11&lt;=42.5,"q",IF(J11&lt;=45,"r",IF(J11&lt;=47.5,"s",IF(J11&lt;=50,"t",IF(J11&lt;=52.5,"u",IF(J11&lt;=55,"v",IF(J11&lt;=57.5,"w","x")))))))</f>
        <v>w</v>
      </c>
    </row>
    <row r="16" spans="2:10" ht="12.75" hidden="1" outlineLevel="1">
      <c r="B16" s="69"/>
      <c r="C16" s="70"/>
      <c r="D16" s="71"/>
      <c r="E16" s="71"/>
      <c r="F16" s="71"/>
      <c r="G16" s="71"/>
      <c r="H16" s="71"/>
      <c r="I16" s="72" t="s">
        <v>39</v>
      </c>
      <c r="J16" s="93" t="str">
        <f>IF(J11&lt;=2.5,"x",IF(J11&lt;=5,"w",IF(J11&lt;=7.5,"v",IF(J11&lt;=10,"u",IF(J11&lt;=12.5,"t",IF(J11&lt;=15,"s",IF(J11&lt;=17.5,"r",IF(J11&lt;=20,"q","&lt;=p"))))))))</f>
        <v>&lt;=p</v>
      </c>
    </row>
    <row r="17" spans="2:10" ht="12.75" hidden="1" outlineLevel="1">
      <c r="B17" s="69"/>
      <c r="C17" s="70"/>
      <c r="D17" s="71"/>
      <c r="E17" s="71"/>
      <c r="F17" s="71"/>
      <c r="G17" s="71"/>
      <c r="H17" s="71"/>
      <c r="I17" s="72" t="s">
        <v>40</v>
      </c>
      <c r="J17" s="93" t="str">
        <f>IF(J11&lt;=22.5,"p",IF(J11&lt;=25,"o",IF(J11&lt;=27.5,"n",IF(J11&lt;=30,"m",IF(J11&lt;=32.5,"l",IF(J11&lt;=35,"k",IF(J11&lt;=37.5,"j",IF(J11&lt;=40,"i","&lt;=h"))))))))</f>
        <v>&lt;=h</v>
      </c>
    </row>
    <row r="18" spans="2:10" ht="12.75" hidden="1" outlineLevel="1">
      <c r="B18" s="4"/>
      <c r="C18" s="75"/>
      <c r="D18" s="21"/>
      <c r="E18" s="21"/>
      <c r="F18" s="21"/>
      <c r="G18" s="21"/>
      <c r="H18" s="21"/>
      <c r="I18" s="76" t="s">
        <v>41</v>
      </c>
      <c r="J18" s="94" t="str">
        <f>IF(J11&lt;=42.5,"h",IF(J11&lt;=45,"g",IF(J11&lt;=47.5,"f",IF(J11&lt;=50,"e",IF(J11&lt;=52.5,"d",IF(J11&lt;=55,"c",IF(J11&lt;=57.5,"b","a")))))))</f>
        <v>b</v>
      </c>
    </row>
    <row r="19" spans="2:10" ht="12.75" hidden="1" outlineLevel="1">
      <c r="B19" s="66" t="s">
        <v>27</v>
      </c>
      <c r="C19" s="86">
        <f>'Rho-Theta'!C8+'Rho-Theta'!E8/60+'Rho-Theta'!G8/3600</f>
        <v>107.59599999999999</v>
      </c>
      <c r="D19" s="67"/>
      <c r="E19" s="67"/>
      <c r="F19" s="67"/>
      <c r="G19" s="67"/>
      <c r="H19" s="67"/>
      <c r="I19" s="67"/>
      <c r="J19" s="77">
        <f>IF('Rho-Theta'!I8="E",C19+180,180-C19)</f>
        <v>287.596</v>
      </c>
    </row>
    <row r="20" spans="2:10" ht="12.75" hidden="1" outlineLevel="1">
      <c r="B20" s="69"/>
      <c r="C20" s="71"/>
      <c r="D20" s="71"/>
      <c r="E20" s="71"/>
      <c r="F20" s="71"/>
      <c r="G20" s="71"/>
      <c r="H20" s="71"/>
      <c r="I20" s="72" t="s">
        <v>42</v>
      </c>
      <c r="J20" s="87" t="str">
        <f>IF(J19&lt;=20,"A",IF(J19&lt;=40,"B",IF(J19&lt;=60,"C",IF(J19&lt;=80,"D",IF(J19&lt;=100,"E",IF(J19&lt;=120,"F",IF(J19&lt;=140,"G",IF(J19&lt;=160,"H","I"))))))))</f>
        <v>I</v>
      </c>
    </row>
    <row r="21" spans="2:10" ht="12.75" hidden="1" outlineLevel="1">
      <c r="B21" s="69"/>
      <c r="C21" s="71"/>
      <c r="D21" s="71"/>
      <c r="E21" s="71"/>
      <c r="F21" s="71"/>
      <c r="G21" s="71"/>
      <c r="H21" s="71"/>
      <c r="I21" s="72" t="s">
        <v>43</v>
      </c>
      <c r="J21" s="87" t="str">
        <f>IF(J19&lt;=200,"J",IF(J19&lt;=220,"K",IF(J19&lt;=240,"L",IF(J19&lt;=260,"M",IF(J19&lt;=280,"N",IF(J19&lt;=300,"O",IF(J19&lt;=320,"P",IF(J19&lt;=340,"Q","R"))))))))</f>
        <v>O</v>
      </c>
    </row>
    <row r="22" spans="2:10" ht="12.75" hidden="1" outlineLevel="1">
      <c r="B22" s="69"/>
      <c r="C22" s="71"/>
      <c r="D22" s="71"/>
      <c r="E22" s="71"/>
      <c r="F22" s="71"/>
      <c r="G22" s="71"/>
      <c r="H22" s="71"/>
      <c r="I22" s="71"/>
      <c r="J22" s="89">
        <f>10*(J19/20-INT(J19/20))</f>
        <v>3.7979999999999947</v>
      </c>
    </row>
    <row r="23" spans="2:10" ht="12.75" hidden="1" outlineLevel="1">
      <c r="B23" s="69"/>
      <c r="C23" s="71"/>
      <c r="D23" s="71"/>
      <c r="E23" s="71"/>
      <c r="F23" s="71"/>
      <c r="G23" s="71"/>
      <c r="H23" s="71"/>
      <c r="I23" s="72" t="s">
        <v>44</v>
      </c>
      <c r="J23" s="74" t="str">
        <f>IF(MOD('Rho-Theta'!C8,2)=0,"Even","Odd")</f>
        <v>Odd</v>
      </c>
    </row>
    <row r="24" spans="2:10" ht="12.75" hidden="1" outlineLevel="1">
      <c r="B24" s="69"/>
      <c r="C24" s="71"/>
      <c r="D24" s="71"/>
      <c r="E24" s="71"/>
      <c r="F24" s="71"/>
      <c r="G24" s="71"/>
      <c r="H24" s="71"/>
      <c r="I24" s="72" t="s">
        <v>45</v>
      </c>
      <c r="J24" s="73">
        <f>'Rho-Theta'!E8+'Rho-Theta'!G8/60</f>
        <v>35.76</v>
      </c>
    </row>
    <row r="25" spans="2:10" ht="12.75" hidden="1" outlineLevel="1">
      <c r="B25" s="69"/>
      <c r="C25" s="71"/>
      <c r="D25" s="71"/>
      <c r="E25" s="71"/>
      <c r="F25" s="71"/>
      <c r="G25" s="71"/>
      <c r="H25" s="71"/>
      <c r="I25" s="72"/>
      <c r="J25" s="73" t="str">
        <f>IF(J24&lt;=30,"Sub1","Sub2")</f>
        <v>Sub2</v>
      </c>
    </row>
    <row r="26" spans="2:10" ht="12.75" hidden="1" outlineLevel="1">
      <c r="B26" s="69"/>
      <c r="C26" s="71"/>
      <c r="D26" s="71"/>
      <c r="E26" s="71"/>
      <c r="F26" s="71"/>
      <c r="G26" s="71"/>
      <c r="H26" s="71"/>
      <c r="I26" s="72" t="s">
        <v>46</v>
      </c>
      <c r="J26" s="91" t="str">
        <f>IF(J24&lt;=5,"x",IF(J24&lt;=10,"w",IF(J24&lt;=15,"v",IF(J24&lt;=20,"u",IF(J24&lt;=25,"t",IF(J24&lt;=30,"s","&lt;=r"))))))</f>
        <v>&lt;=r</v>
      </c>
    </row>
    <row r="27" spans="2:10" ht="12.75" hidden="1" outlineLevel="1">
      <c r="B27" s="69"/>
      <c r="C27" s="71"/>
      <c r="D27" s="71"/>
      <c r="E27" s="71"/>
      <c r="F27" s="71"/>
      <c r="G27" s="71"/>
      <c r="H27" s="71"/>
      <c r="I27" s="72" t="s">
        <v>47</v>
      </c>
      <c r="J27" s="91" t="str">
        <f>IF(J24&lt;=35,"r",IF(J24&lt;=40,"q",IF(J24&lt;=45,"p",IF(J24&lt;=50,"o",IF(J24&lt;=55,"n","m")))))</f>
        <v>q</v>
      </c>
    </row>
    <row r="28" spans="2:10" ht="12.75" hidden="1" outlineLevel="1">
      <c r="B28" s="69"/>
      <c r="C28" s="71"/>
      <c r="D28" s="71"/>
      <c r="E28" s="71"/>
      <c r="F28" s="71"/>
      <c r="G28" s="71"/>
      <c r="H28" s="71"/>
      <c r="I28" s="72" t="s">
        <v>48</v>
      </c>
      <c r="J28" s="91" t="str">
        <f>IF(J24&lt;=5,"l",IF(J24&lt;=10,"k",IF(J24&lt;=15,"j",IF(J24&lt;=20,"i",IF(J24&lt;=25,"h",IF(J24&lt;=30,"g","&lt;=f"))))))</f>
        <v>&lt;=f</v>
      </c>
    </row>
    <row r="29" spans="2:10" ht="12.75" hidden="1" outlineLevel="1">
      <c r="B29" s="4"/>
      <c r="C29" s="21"/>
      <c r="D29" s="21"/>
      <c r="E29" s="21"/>
      <c r="F29" s="21"/>
      <c r="G29" s="21"/>
      <c r="H29" s="21"/>
      <c r="I29" s="76" t="s">
        <v>49</v>
      </c>
      <c r="J29" s="92" t="str">
        <f>IF(J24&lt;=35,"f",IF(J24&lt;=40,"e",IF(J24&lt;=45,"d",IF(J24&lt;=50,"c",IF(J24&lt;=55,"b","a")))))</f>
        <v>e</v>
      </c>
    </row>
    <row r="30" ht="12.75" collapsed="1"/>
  </sheetData>
  <sheetProtection password="DA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 W. Wangsaputra</dc:creator>
  <cp:keywords/>
  <dc:description/>
  <cp:lastModifiedBy>Onno W. Purbo</cp:lastModifiedBy>
  <cp:lastPrinted>2001-11-09T07:40:38Z</cp:lastPrinted>
  <dcterms:created xsi:type="dcterms:W3CDTF">1999-06-25T01:11:39Z</dcterms:created>
  <dcterms:modified xsi:type="dcterms:W3CDTF">2004-01-27T14:10:26Z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1853143734</vt:i4>
  </property>
  <property fmtid="{D5CDD505-2E9C-101B-9397-08002B2CF9AE}" pid="3" name="_EmailSubject">
    <vt:lpwstr>[id-gps] Kalibrasi Mapsource Gamin dan Garmin Etrex Summit</vt:lpwstr>
  </property>
  <property fmtid="{D5CDD505-2E9C-101B-9397-08002B2CF9AE}" pid="4" name="_AuthorEmail">
    <vt:lpwstr>mula@indonesian-aerospace.com</vt:lpwstr>
  </property>
  <property fmtid="{D5CDD505-2E9C-101B-9397-08002B2CF9AE}" pid="5" name="_AuthorEmailDisplayName">
    <vt:lpwstr>Mula W. Wangsaputra</vt:lpwstr>
  </property>
</Properties>
</file>